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filterPrivacy="1" defaultThemeVersion="166925"/>
  <workbookProtection lockWindows="1"/>
  <bookViews>
    <workbookView xWindow="2010" yWindow="0" windowWidth="9330" windowHeight="6375" tabRatio="500" activeTab="0"/>
  </bookViews>
  <sheets>
    <sheet name="Sheet1" sheetId="1" r:id="rId1"/>
  </sheets>
  <definedNames>
    <definedName name="_xlnm.Print_Area" localSheetId="0">'Sheet1'!$A$1:$S$41</definedName>
    <definedName name="Print_Area_0" localSheetId="0">'Sheet1'!$A$1:$S$41</definedName>
    <definedName name="Print_Area_0_0" localSheetId="0">'Sheet1'!$A$1:$S$41</definedName>
  </definedNames>
  <calcPr calcId="171027"/>
</workbook>
</file>

<file path=xl/sharedStrings.xml><?xml version="1.0" encoding="utf-8"?>
<sst xmlns="http://schemas.openxmlformats.org/spreadsheetml/2006/main" count="63" uniqueCount="49">
  <si>
    <t>Full</t>
  </si>
  <si>
    <t>Last</t>
  </si>
  <si>
    <t>First</t>
  </si>
  <si>
    <t>% of ttl</t>
  </si>
  <si>
    <t>Metric</t>
  </si>
  <si>
    <t>Statement</t>
  </si>
  <si>
    <t>10 Years</t>
  </si>
  <si>
    <t>5 Years</t>
  </si>
  <si>
    <t>Last 5</t>
  </si>
  <si>
    <t>First 5</t>
  </si>
  <si>
    <t>Variance</t>
  </si>
  <si>
    <t>Revenue</t>
  </si>
  <si>
    <t>SOCI</t>
  </si>
  <si>
    <t>Profit After Tax</t>
  </si>
  <si>
    <t>Profit Margin</t>
  </si>
  <si>
    <t>Sales Growth</t>
  </si>
  <si>
    <t>Profit Growth</t>
  </si>
  <si>
    <t>Cash Generated from Operations</t>
  </si>
  <si>
    <t>CFS</t>
  </si>
  <si>
    <t>Interest Paid</t>
  </si>
  <si>
    <t>Interest cover</t>
  </si>
  <si>
    <t>Purchase of PPE</t>
  </si>
  <si>
    <t>Proceeds of sales of PPE</t>
  </si>
  <si>
    <t>Net PPE Purchases</t>
  </si>
  <si>
    <t>Tax Paid</t>
  </si>
  <si>
    <t>Tax paid as a % of revenue</t>
  </si>
  <si>
    <t>Dividends</t>
  </si>
  <si>
    <t>SOCE / CFS</t>
  </si>
  <si>
    <t>Share based payment</t>
  </si>
  <si>
    <t>SOCE</t>
  </si>
  <si>
    <t>Financing + Dividends - PPE Purchases</t>
  </si>
  <si>
    <t>Financing + Dividends - Infrastructure</t>
  </si>
  <si>
    <t>Working capital adjustment</t>
  </si>
  <si>
    <t>Notes - Net Finance Costs</t>
  </si>
  <si>
    <t>Additions</t>
  </si>
  <si>
    <t>Notes - PPE</t>
  </si>
  <si>
    <t>Construction in Progress</t>
  </si>
  <si>
    <t>Plant, vehicles and computers</t>
  </si>
  <si>
    <t>Property</t>
  </si>
  <si>
    <t>Infrastructure as a % of additions</t>
  </si>
  <si>
    <t>Property Plant and Equipment Balance</t>
  </si>
  <si>
    <t>BS</t>
  </si>
  <si>
    <t>Borrowings</t>
  </si>
  <si>
    <t>Cash at bank</t>
  </si>
  <si>
    <t>Change in PPE</t>
  </si>
  <si>
    <t>Change in Borrowings</t>
  </si>
  <si>
    <t>Change in Cash</t>
  </si>
  <si>
    <t>Ratio of Borrowing to PPE</t>
  </si>
  <si>
    <t>Infrastructure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</si>
</sst>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_-"/>
    <numFmt numFmtId="165" formatCode="#,##0.0_ ;[Red]\(#,##0.0&quot;) &quot;"/>
    <numFmt numFmtId="166" formatCode="0.0%;[Red]\(0.0%\)"/>
    <numFmt numFmtId="167" formatCode="0.0%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0" fillId="0" borderId="0" xfId="18" applyNumberFormat="1" applyBorder="1" applyAlignment="1" applyProtection="1">
      <alignment vertical="center"/>
      <protection/>
    </xf>
    <xf numFmtId="165" fontId="0" fillId="0" borderId="0" xfId="0" applyNumberFormat="1" applyFont="1" applyAlignment="1">
      <alignment vertical="center"/>
    </xf>
    <xf numFmtId="166" fontId="0" fillId="0" borderId="0" xfId="15" applyNumberFormat="1" applyFont="1" applyBorder="1" applyAlignment="1" applyProtection="1">
      <alignment vertical="center"/>
      <protection/>
    </xf>
    <xf numFmtId="166" fontId="2" fillId="0" borderId="0" xfId="15" applyNumberFormat="1" applyFont="1" applyBorder="1" applyAlignment="1" applyProtection="1">
      <alignment vertical="center"/>
      <protection/>
    </xf>
    <xf numFmtId="167" fontId="0" fillId="0" borderId="0" xfId="15" applyNumberFormat="1" applyBorder="1" applyAlignment="1" applyProtection="1">
      <alignment vertical="center"/>
      <protection/>
    </xf>
    <xf numFmtId="165" fontId="2" fillId="0" borderId="0" xfId="18" applyNumberFormat="1" applyFont="1" applyBorder="1" applyAlignment="1" applyProtection="1">
      <alignment vertical="center"/>
      <protection/>
    </xf>
    <xf numFmtId="165" fontId="2" fillId="0" borderId="0" xfId="0" applyNumberFormat="1" applyFont="1" applyAlignment="1">
      <alignment vertical="center"/>
    </xf>
    <xf numFmtId="164" fontId="0" fillId="0" borderId="0" xfId="18" applyBorder="1" applyAlignment="1" applyProtection="1">
      <alignment vertical="center"/>
      <protection/>
    </xf>
    <xf numFmtId="165" fontId="0" fillId="0" borderId="0" xfId="18" applyNumberFormat="1" applyFont="1" applyBorder="1" applyAlignment="1" applyProtection="1">
      <alignment vertical="center"/>
      <protection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581025</xdr:colOff>
      <xdr:row>56</xdr:row>
      <xdr:rowOff>161925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229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windowProtection="1" tabSelected="1" zoomScale="80" zoomScaleNormal="80" workbookViewId="0" topLeftCell="A1">
      <pane xSplit="2" ySplit="2" topLeftCell="C3" activePane="bottomRight" state="frozen"/>
      <selection pane="topRight" activeCell="E1" sqref="E1"/>
      <selection pane="bottomLeft" activeCell="A21" sqref="A21"/>
      <selection pane="bottomRight" activeCell="M13" sqref="M13"/>
    </sheetView>
  </sheetViews>
  <sheetFormatPr defaultColWidth="9.140625" defaultRowHeight="12.75"/>
  <cols>
    <col min="1" max="1" width="36.57421875" style="1" customWidth="1"/>
    <col min="2" max="2" width="22.140625" style="1" customWidth="1"/>
    <col min="3" max="17" width="9.421875" style="1" customWidth="1"/>
    <col min="18" max="18" width="11.28125" style="2" customWidth="1"/>
    <col min="19" max="1025" width="11.28125" style="1" customWidth="1"/>
  </cols>
  <sheetData>
    <row r="1" spans="1:19" ht="12.75">
      <c r="A1"/>
      <c r="B1"/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/>
      <c r="N1" s="3" t="s">
        <v>0</v>
      </c>
      <c r="O1" s="3" t="s">
        <v>1</v>
      </c>
      <c r="P1" s="3" t="s">
        <v>2</v>
      </c>
      <c r="Q1" s="3" t="s">
        <v>3</v>
      </c>
      <c r="R1" s="3" t="s">
        <v>3</v>
      </c>
      <c r="S1"/>
    </row>
    <row r="2" spans="1:19" ht="12.75">
      <c r="A2" s="4" t="s">
        <v>4</v>
      </c>
      <c r="B2" s="4" t="s">
        <v>5</v>
      </c>
      <c r="C2" s="4">
        <v>2017</v>
      </c>
      <c r="D2" s="3">
        <v>2016</v>
      </c>
      <c r="E2" s="3">
        <v>2015</v>
      </c>
      <c r="F2" s="3">
        <v>2014</v>
      </c>
      <c r="G2" s="3">
        <v>2013</v>
      </c>
      <c r="H2" s="3">
        <v>2012</v>
      </c>
      <c r="I2" s="3">
        <v>2011</v>
      </c>
      <c r="J2" s="3">
        <v>2010</v>
      </c>
      <c r="K2" s="3">
        <v>2009</v>
      </c>
      <c r="L2" s="3">
        <v>2008</v>
      </c>
      <c r="M2" s="3">
        <v>2007</v>
      </c>
      <c r="N2" s="3" t="s">
        <v>6</v>
      </c>
      <c r="O2" s="3" t="s">
        <v>7</v>
      </c>
      <c r="P2" s="3" t="s">
        <v>7</v>
      </c>
      <c r="Q2" s="3" t="s">
        <v>8</v>
      </c>
      <c r="R2" s="3" t="s">
        <v>9</v>
      </c>
      <c r="S2" s="3" t="s">
        <v>10</v>
      </c>
    </row>
    <row r="3" spans="1:19" ht="12.75">
      <c r="A3" s="1" t="s">
        <v>11</v>
      </c>
      <c r="B3" s="1" t="s">
        <v>12</v>
      </c>
      <c r="C3" s="1">
        <v>562.5</v>
      </c>
      <c r="D3" s="5">
        <v>506.4</v>
      </c>
      <c r="E3" s="5">
        <v>523.6</v>
      </c>
      <c r="F3" s="5">
        <v>521.5</v>
      </c>
      <c r="G3" s="5">
        <v>500.1</v>
      </c>
      <c r="H3" s="5">
        <v>474.7</v>
      </c>
      <c r="I3" s="5">
        <v>449.1</v>
      </c>
      <c r="J3" s="5">
        <v>444.5</v>
      </c>
      <c r="K3" s="5">
        <v>432</v>
      </c>
      <c r="L3" s="5">
        <v>421.3</v>
      </c>
      <c r="M3" s="5">
        <v>381.3</v>
      </c>
      <c r="N3" s="5">
        <f>SUM(C3:L3)</f>
        <v>4835.7</v>
      </c>
      <c r="O3" s="6">
        <f>SUMIFS($C3:$L3,$C$1:$L$1,"&lt;=5")</f>
        <v>2614.1</v>
      </c>
      <c r="P3" s="6">
        <f>SUMIFS($C3:$L3,$C$1:$L$1,"&gt;5")</f>
        <v>2221.6</v>
      </c>
      <c r="Q3" s="7">
        <f>O3/N3</f>
        <v>0.540583576317803</v>
      </c>
      <c r="R3" s="7">
        <f>P3/N3</f>
        <v>0.459416423682197</v>
      </c>
      <c r="S3" s="7">
        <f>_xlfn.IFERROR(O3/P3-1,0)</f>
        <v>0.17667446885127847</v>
      </c>
    </row>
    <row r="4" spans="1:19" ht="12.75">
      <c r="A4" s="1" t="s">
        <v>13</v>
      </c>
      <c r="B4" s="1" t="s">
        <v>12</v>
      </c>
      <c r="C4" s="1">
        <v>150.2</v>
      </c>
      <c r="D4" s="5">
        <v>160</v>
      </c>
      <c r="E4" s="5">
        <v>141.9</v>
      </c>
      <c r="F4" s="5">
        <v>163.5</v>
      </c>
      <c r="G4" s="5">
        <v>133.8</v>
      </c>
      <c r="H4" s="5">
        <v>129.5</v>
      </c>
      <c r="I4" s="5">
        <v>125.1</v>
      </c>
      <c r="J4" s="5">
        <v>98.8</v>
      </c>
      <c r="K4" s="5">
        <v>65.6</v>
      </c>
      <c r="L4" s="5">
        <v>105.6</v>
      </c>
      <c r="M4" s="5">
        <v>72.1</v>
      </c>
      <c r="N4" s="5">
        <f>SUM(C4:L4)</f>
        <v>1274</v>
      </c>
      <c r="O4" s="6">
        <f>SUMIFS($C4:$L4,$C$1:$L$1,"&lt;=5")</f>
        <v>749.4000000000001</v>
      </c>
      <c r="P4" s="6">
        <f>SUMIFS($C4:$L4,$C$1:$L$1,"&gt;5")</f>
        <v>524.6</v>
      </c>
      <c r="Q4" s="7">
        <f>O4/N4</f>
        <v>0.5882260596546312</v>
      </c>
      <c r="R4" s="7">
        <f>P4/N4</f>
        <v>0.41177394034536896</v>
      </c>
      <c r="S4" s="7">
        <f>_xlfn.IFERROR(O4/P4-1,0)</f>
        <v>0.42851696530690053</v>
      </c>
    </row>
    <row r="5" spans="1:19" ht="12.75">
      <c r="A5" s="4" t="s">
        <v>14</v>
      </c>
      <c r="B5" s="4"/>
      <c r="C5" s="8">
        <f aca="true" t="shared" si="0" ref="C5:P5">_xlfn.IFERROR(C4/C3,0)</f>
        <v>0.2670222222222222</v>
      </c>
      <c r="D5" s="8">
        <f t="shared" si="0"/>
        <v>0.315955766192733</v>
      </c>
      <c r="E5" s="8">
        <f t="shared" si="0"/>
        <v>0.2710084033613445</v>
      </c>
      <c r="F5" s="8">
        <f t="shared" si="0"/>
        <v>0.31351869606903165</v>
      </c>
      <c r="G5" s="8">
        <f t="shared" si="0"/>
        <v>0.26754649070185965</v>
      </c>
      <c r="H5" s="8">
        <f t="shared" si="0"/>
        <v>0.27280387613229407</v>
      </c>
      <c r="I5" s="8">
        <f t="shared" si="0"/>
        <v>0.2785571142284569</v>
      </c>
      <c r="J5" s="8">
        <f t="shared" si="0"/>
        <v>0.22227221597300337</v>
      </c>
      <c r="K5" s="8">
        <f t="shared" si="0"/>
        <v>0.15185185185185185</v>
      </c>
      <c r="L5" s="8">
        <f t="shared" si="0"/>
        <v>0.2506527415143603</v>
      </c>
      <c r="M5" s="8">
        <f t="shared" si="0"/>
        <v>0.18908995541568316</v>
      </c>
      <c r="N5" s="8">
        <f t="shared" si="0"/>
        <v>0.26345720371404346</v>
      </c>
      <c r="O5" s="8">
        <f t="shared" si="0"/>
        <v>0.2866761026739605</v>
      </c>
      <c r="P5" s="8">
        <f t="shared" si="0"/>
        <v>0.23613611811307167</v>
      </c>
      <c r="Q5" s="7"/>
      <c r="R5" s="7"/>
      <c r="S5"/>
    </row>
    <row r="6" spans="1:19" ht="12.75">
      <c r="A6" s="4" t="s">
        <v>15</v>
      </c>
      <c r="B6" s="4"/>
      <c r="C6" s="8">
        <f aca="true" t="shared" si="1" ref="C6:L6">_xlfn.IFERROR(C3/D3-1,0)</f>
        <v>0.11078199052132698</v>
      </c>
      <c r="D6" s="8">
        <f t="shared" si="1"/>
        <v>-0.03284950343773885</v>
      </c>
      <c r="E6" s="8">
        <f t="shared" si="1"/>
        <v>0.004026845637584042</v>
      </c>
      <c r="F6" s="8">
        <f t="shared" si="1"/>
        <v>0.04279144171165772</v>
      </c>
      <c r="G6" s="8">
        <f t="shared" si="1"/>
        <v>0.05350747840741521</v>
      </c>
      <c r="H6" s="8">
        <f t="shared" si="1"/>
        <v>0.057002894678245264</v>
      </c>
      <c r="I6" s="8">
        <f t="shared" si="1"/>
        <v>0.010348706411698494</v>
      </c>
      <c r="J6" s="8">
        <f t="shared" si="1"/>
        <v>0.02893518518518512</v>
      </c>
      <c r="K6" s="8">
        <f t="shared" si="1"/>
        <v>0.025397578922383035</v>
      </c>
      <c r="L6" s="8">
        <f t="shared" si="1"/>
        <v>0.10490427484920017</v>
      </c>
      <c r="M6" s="8"/>
      <c r="N6" s="8"/>
      <c r="O6" s="8"/>
      <c r="P6" s="8"/>
      <c r="Q6" s="7"/>
      <c r="R6" s="7"/>
      <c r="S6"/>
    </row>
    <row r="7" spans="1:19" ht="12.75">
      <c r="A7" s="4" t="s">
        <v>16</v>
      </c>
      <c r="B7" s="4"/>
      <c r="C7" s="8">
        <f aca="true" t="shared" si="2" ref="C7:L7">_xlfn.IFERROR(C4/D4-1,0)</f>
        <v>-0.06125000000000003</v>
      </c>
      <c r="D7" s="8">
        <f t="shared" si="2"/>
        <v>0.12755461592670891</v>
      </c>
      <c r="E7" s="8">
        <f t="shared" si="2"/>
        <v>-0.13211009174311927</v>
      </c>
      <c r="F7" s="8">
        <f t="shared" si="2"/>
        <v>0.22197309417040345</v>
      </c>
      <c r="G7" s="8">
        <f t="shared" si="2"/>
        <v>0.03320463320463318</v>
      </c>
      <c r="H7" s="8">
        <f t="shared" si="2"/>
        <v>0.03517186250999216</v>
      </c>
      <c r="I7" s="8">
        <f t="shared" si="2"/>
        <v>0.2661943319838056</v>
      </c>
      <c r="J7" s="8">
        <f t="shared" si="2"/>
        <v>0.5060975609756098</v>
      </c>
      <c r="K7" s="8">
        <f t="shared" si="2"/>
        <v>-0.3787878787878788</v>
      </c>
      <c r="L7" s="8">
        <f t="shared" si="2"/>
        <v>0.4646324549237171</v>
      </c>
      <c r="M7" s="8"/>
      <c r="N7" s="8"/>
      <c r="O7" s="8"/>
      <c r="P7" s="8"/>
      <c r="Q7" s="7"/>
      <c r="R7" s="7"/>
      <c r="S7"/>
    </row>
    <row r="8" spans="1:19" ht="12.75">
      <c r="A8"/>
      <c r="B8"/>
      <c r="C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/>
      <c r="P8"/>
      <c r="Q8" s="7"/>
      <c r="R8" s="7"/>
      <c r="S8"/>
    </row>
    <row r="9" spans="1:19" ht="12.75">
      <c r="A9" s="1" t="s">
        <v>17</v>
      </c>
      <c r="B9" s="1" t="s">
        <v>18</v>
      </c>
      <c r="C9" s="1">
        <v>330.7</v>
      </c>
      <c r="D9" s="5">
        <v>298.5</v>
      </c>
      <c r="E9" s="5">
        <v>315.5</v>
      </c>
      <c r="F9" s="5">
        <v>313.7</v>
      </c>
      <c r="G9" s="5">
        <v>307.4</v>
      </c>
      <c r="H9" s="5">
        <v>269.12</v>
      </c>
      <c r="I9" s="5">
        <v>266</v>
      </c>
      <c r="J9" s="5">
        <v>281.2</v>
      </c>
      <c r="K9" s="5">
        <v>231.3</v>
      </c>
      <c r="L9" s="5">
        <v>255.4</v>
      </c>
      <c r="M9" s="5">
        <v>226</v>
      </c>
      <c r="N9" s="5">
        <f>SUM(C9:L9)</f>
        <v>2868.82</v>
      </c>
      <c r="O9" s="6">
        <f>SUMIFS($C9:$L9,$C$1:$L$1,"&lt;=5")</f>
        <v>1565.8000000000002</v>
      </c>
      <c r="P9" s="6">
        <f>SUMIFS($C9:$L9,$C$1:$L$1,"&gt;5")</f>
        <v>1303.02</v>
      </c>
      <c r="Q9" s="7">
        <f>O9/N9</f>
        <v>0.5457993181865716</v>
      </c>
      <c r="R9" s="7">
        <f>P9/N9</f>
        <v>0.4542006818134285</v>
      </c>
      <c r="S9" s="7">
        <f>_xlfn.IFERROR(O9/P9-1,0)</f>
        <v>0.20166996669276016</v>
      </c>
    </row>
    <row r="10" spans="1:19" ht="12.75">
      <c r="A10" s="1" t="s">
        <v>19</v>
      </c>
      <c r="B10" s="1" t="s">
        <v>18</v>
      </c>
      <c r="C10" s="1">
        <f>47-0.6</f>
        <v>46.4</v>
      </c>
      <c r="D10" s="5">
        <f>49.6-0.4</f>
        <v>49.2</v>
      </c>
      <c r="E10" s="5">
        <f>49.2-0.9</f>
        <v>48.300000000000004</v>
      </c>
      <c r="F10" s="5">
        <f>60.1-1.3</f>
        <v>58.800000000000004</v>
      </c>
      <c r="G10" s="5">
        <f>63-1.4</f>
        <v>61.6</v>
      </c>
      <c r="H10" s="5">
        <f>57.7-3.8</f>
        <v>53.900000000000006</v>
      </c>
      <c r="I10" s="5">
        <f>55.7-2.8</f>
        <v>52.900000000000006</v>
      </c>
      <c r="J10" s="5">
        <f>60.1-3.7</f>
        <v>56.4</v>
      </c>
      <c r="K10" s="5">
        <f>67.7-11.6</f>
        <v>56.1</v>
      </c>
      <c r="L10" s="5">
        <f>73.5-11.4</f>
        <v>62.1</v>
      </c>
      <c r="M10" s="5">
        <f>46.9-3.1</f>
        <v>43.8</v>
      </c>
      <c r="N10" s="5">
        <f>SUM(C10:L10)</f>
        <v>545.7</v>
      </c>
      <c r="O10" s="6">
        <f>SUMIFS($C10:$L10,$C$1:$L$1,"&lt;=5")</f>
        <v>264.3</v>
      </c>
      <c r="P10" s="6">
        <f>SUMIFS($C10:$L10,$C$1:$L$1,"&gt;5")</f>
        <v>281.40000000000003</v>
      </c>
      <c r="Q10" s="7">
        <f>O10/N10</f>
        <v>0.4843320505772402</v>
      </c>
      <c r="R10" s="7">
        <f>P10/N10</f>
        <v>0.5156679494227597</v>
      </c>
      <c r="S10" s="7">
        <f>_xlfn.IFERROR(O10/P10-1,0)</f>
        <v>-0.06076759061833692</v>
      </c>
    </row>
    <row r="11" spans="1:19" ht="12.75">
      <c r="A11" s="1" t="s">
        <v>20</v>
      </c>
      <c r="B11"/>
      <c r="C11" s="5">
        <f aca="true" t="shared" si="3" ref="C11:P11">_xlfn.IFERROR(C3/C10,0)</f>
        <v>12.122844827586206</v>
      </c>
      <c r="D11" s="5">
        <f t="shared" si="3"/>
        <v>10.292682926829267</v>
      </c>
      <c r="E11" s="5">
        <f t="shared" si="3"/>
        <v>10.840579710144928</v>
      </c>
      <c r="F11" s="5">
        <f t="shared" si="3"/>
        <v>8.869047619047619</v>
      </c>
      <c r="G11" s="5">
        <f t="shared" si="3"/>
        <v>8.118506493506494</v>
      </c>
      <c r="H11" s="5">
        <f t="shared" si="3"/>
        <v>8.807050092764378</v>
      </c>
      <c r="I11" s="5">
        <f t="shared" si="3"/>
        <v>8.489603024574668</v>
      </c>
      <c r="J11" s="5">
        <f t="shared" si="3"/>
        <v>7.881205673758865</v>
      </c>
      <c r="K11" s="5">
        <f t="shared" si="3"/>
        <v>7.7005347593582885</v>
      </c>
      <c r="L11" s="5">
        <f t="shared" si="3"/>
        <v>6.784219001610306</v>
      </c>
      <c r="M11" s="5">
        <f t="shared" si="3"/>
        <v>8.705479452054796</v>
      </c>
      <c r="N11" s="5">
        <f t="shared" si="3"/>
        <v>8.861462341946122</v>
      </c>
      <c r="O11" s="5">
        <f t="shared" si="3"/>
        <v>9.890654559213015</v>
      </c>
      <c r="P11" s="5">
        <f t="shared" si="3"/>
        <v>7.894811656005684</v>
      </c>
      <c r="Q11" s="7"/>
      <c r="R11" s="7"/>
      <c r="S11"/>
    </row>
    <row r="12" spans="1:19" ht="12.75">
      <c r="A12"/>
      <c r="B12"/>
      <c r="C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7"/>
      <c r="R12" s="7"/>
      <c r="S12"/>
    </row>
    <row r="13" spans="1:19" ht="12.75">
      <c r="A13" s="1" t="s">
        <v>21</v>
      </c>
      <c r="B13" s="1" t="s">
        <v>18</v>
      </c>
      <c r="C13" s="1">
        <v>183.3</v>
      </c>
      <c r="D13" s="5">
        <v>119.1</v>
      </c>
      <c r="E13" s="5">
        <v>142.6</v>
      </c>
      <c r="F13" s="5">
        <v>146.5</v>
      </c>
      <c r="G13" s="5">
        <v>111.9</v>
      </c>
      <c r="H13" s="5">
        <v>138.7</v>
      </c>
      <c r="I13" s="5">
        <v>118.1</v>
      </c>
      <c r="J13" s="5">
        <v>147.3</v>
      </c>
      <c r="K13" s="5">
        <v>156.9</v>
      </c>
      <c r="L13" s="5">
        <v>163.7</v>
      </c>
      <c r="M13" s="5">
        <v>194.5</v>
      </c>
      <c r="N13" s="5">
        <f>SUM(C13:L13)</f>
        <v>1428.1000000000001</v>
      </c>
      <c r="O13" s="6">
        <f>SUMIFS($C13:$L13,$C$1:$L$1,"&lt;=5")</f>
        <v>703.4</v>
      </c>
      <c r="P13" s="6">
        <f>SUMIFS($C13:$L13,$C$1:$L$1,"&gt;5")</f>
        <v>724.7</v>
      </c>
      <c r="Q13" s="7"/>
      <c r="R13" s="7"/>
      <c r="S13"/>
    </row>
    <row r="14" spans="1:19" ht="12.75">
      <c r="A14" s="1" t="s">
        <v>22</v>
      </c>
      <c r="B14" s="1" t="s">
        <v>18</v>
      </c>
      <c r="C14" s="5">
        <v>-2.4</v>
      </c>
      <c r="D14" s="5">
        <v>-1.7</v>
      </c>
      <c r="E14" s="5">
        <v>-1.4</v>
      </c>
      <c r="F14" s="5">
        <v>-1.9</v>
      </c>
      <c r="G14" s="5">
        <v>-1.6</v>
      </c>
      <c r="H14" s="5">
        <v>-1.3</v>
      </c>
      <c r="I14" s="5">
        <v>-1.8</v>
      </c>
      <c r="J14" s="5">
        <v>-1.3</v>
      </c>
      <c r="K14" s="5">
        <v>-2.2</v>
      </c>
      <c r="L14" s="5">
        <v>-0.2</v>
      </c>
      <c r="M14" s="5">
        <v>-3.1</v>
      </c>
      <c r="N14" s="5">
        <f>SUM(C14:L14)</f>
        <v>-15.8</v>
      </c>
      <c r="O14" s="6">
        <f>SUMIFS($C14:$L14,$C$1:$L$1,"&lt;=5")</f>
        <v>-9</v>
      </c>
      <c r="P14" s="6">
        <f>SUMIFS($C14:$L14,$C$1:$L$1,"&gt;5")</f>
        <v>-6.800000000000001</v>
      </c>
      <c r="Q14" s="7"/>
      <c r="R14" s="7"/>
      <c r="S14"/>
    </row>
    <row r="15" spans="1:19" ht="12.75">
      <c r="A15" s="4" t="s">
        <v>23</v>
      </c>
      <c r="B15" s="4"/>
      <c r="C15" s="10">
        <f aca="true" t="shared" si="4" ref="C15:M15">SUM(C13:C14)</f>
        <v>180.9</v>
      </c>
      <c r="D15" s="10">
        <f t="shared" si="4"/>
        <v>117.39999999999999</v>
      </c>
      <c r="E15" s="10">
        <f t="shared" si="4"/>
        <v>141.2</v>
      </c>
      <c r="F15" s="10">
        <f t="shared" si="4"/>
        <v>144.6</v>
      </c>
      <c r="G15" s="10">
        <f t="shared" si="4"/>
        <v>110.30000000000001</v>
      </c>
      <c r="H15" s="10">
        <f t="shared" si="4"/>
        <v>137.39999999999998</v>
      </c>
      <c r="I15" s="10">
        <f t="shared" si="4"/>
        <v>116.3</v>
      </c>
      <c r="J15" s="10">
        <f t="shared" si="4"/>
        <v>146</v>
      </c>
      <c r="K15" s="10">
        <f t="shared" si="4"/>
        <v>154.70000000000002</v>
      </c>
      <c r="L15" s="10">
        <f t="shared" si="4"/>
        <v>163.5</v>
      </c>
      <c r="M15" s="10">
        <f t="shared" si="4"/>
        <v>191.4</v>
      </c>
      <c r="N15" s="10">
        <f>SUM(C15:L15)</f>
        <v>1412.3</v>
      </c>
      <c r="O15" s="11">
        <f>SUMIFS($C15:$L15,$C$1:$L$1,"&lt;=5")</f>
        <v>694.4000000000001</v>
      </c>
      <c r="P15" s="11">
        <f>SUMIFS($C15:$L15,$C$1:$L$1,"&gt;5")</f>
        <v>717.9</v>
      </c>
      <c r="Q15" s="7">
        <f>O15/N15</f>
        <v>0.4916802379097926</v>
      </c>
      <c r="R15" s="7">
        <f>P15/N15</f>
        <v>0.5083197620902075</v>
      </c>
      <c r="S15" s="7">
        <f>_xlfn.IFERROR(O15/P15-1,0)</f>
        <v>-0.03273436411756492</v>
      </c>
    </row>
    <row r="16" spans="1:19" ht="12.75">
      <c r="A16"/>
      <c r="B16"/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7"/>
      <c r="R16" s="7"/>
      <c r="S16"/>
    </row>
    <row r="17" spans="1:19" ht="12.75">
      <c r="A17" s="1" t="s">
        <v>24</v>
      </c>
      <c r="B17" s="1" t="s">
        <v>18</v>
      </c>
      <c r="C17" s="1">
        <v>31.6</v>
      </c>
      <c r="D17" s="5">
        <v>32.4</v>
      </c>
      <c r="E17" s="5">
        <v>36.4</v>
      </c>
      <c r="F17" s="5">
        <v>44.1</v>
      </c>
      <c r="G17" s="5">
        <v>34</v>
      </c>
      <c r="H17" s="5">
        <v>28.5</v>
      </c>
      <c r="I17" s="5">
        <v>30.6</v>
      </c>
      <c r="J17" s="5">
        <v>1.3</v>
      </c>
      <c r="K17" s="5">
        <v>21.8</v>
      </c>
      <c r="L17" s="5">
        <v>7.2</v>
      </c>
      <c r="M17" s="5">
        <v>2.1</v>
      </c>
      <c r="N17" s="5">
        <f>SUM(C17:L17)</f>
        <v>267.9</v>
      </c>
      <c r="O17" s="6">
        <f>SUMIFS($C17:$L17,$C$1:$L$1,"&lt;=5")</f>
        <v>178.5</v>
      </c>
      <c r="P17" s="6">
        <f>SUMIFS($C17:$L17,$C$1:$L$1,"&gt;5")</f>
        <v>89.4</v>
      </c>
      <c r="Q17" s="7">
        <f>O17/N17</f>
        <v>0.6662933930571109</v>
      </c>
      <c r="R17" s="7">
        <f>P17/N17</f>
        <v>0.3337066069428892</v>
      </c>
      <c r="S17" s="7">
        <f>_xlfn.IFERROR(O17/P17-1,0)</f>
        <v>0.9966442953020134</v>
      </c>
    </row>
    <row r="18" spans="1:19" ht="12.75">
      <c r="A18" s="4" t="s">
        <v>25</v>
      </c>
      <c r="B18" s="4"/>
      <c r="C18" s="8">
        <f aca="true" t="shared" si="5" ref="C18:P18">_xlfn.IFERROR(C17/C3,0)</f>
        <v>0.05617777777777778</v>
      </c>
      <c r="D18" s="8">
        <f t="shared" si="5"/>
        <v>0.06398104265402843</v>
      </c>
      <c r="E18" s="8">
        <f t="shared" si="5"/>
        <v>0.06951871657754011</v>
      </c>
      <c r="F18" s="8">
        <f t="shared" si="5"/>
        <v>0.08456375838926175</v>
      </c>
      <c r="G18" s="8">
        <f t="shared" si="5"/>
        <v>0.06798640271945611</v>
      </c>
      <c r="H18" s="8">
        <f t="shared" si="5"/>
        <v>0.060037918685485574</v>
      </c>
      <c r="I18" s="8">
        <f t="shared" si="5"/>
        <v>0.06813627254509018</v>
      </c>
      <c r="J18" s="8">
        <f t="shared" si="5"/>
        <v>0.002924634420697413</v>
      </c>
      <c r="K18" s="8">
        <f t="shared" si="5"/>
        <v>0.050462962962962966</v>
      </c>
      <c r="L18" s="8">
        <f t="shared" si="5"/>
        <v>0.017089959648706386</v>
      </c>
      <c r="M18" s="8">
        <f t="shared" si="5"/>
        <v>0.0055074744295830055</v>
      </c>
      <c r="N18" s="8">
        <f t="shared" si="5"/>
        <v>0.05540045908555121</v>
      </c>
      <c r="O18" s="8">
        <f t="shared" si="5"/>
        <v>0.06828353926781684</v>
      </c>
      <c r="P18" s="8">
        <f t="shared" si="5"/>
        <v>0.04024126755491538</v>
      </c>
      <c r="Q18" s="7"/>
      <c r="R18" s="7"/>
      <c r="S18"/>
    </row>
    <row r="19" spans="1:19" ht="12.75">
      <c r="A19"/>
      <c r="B19"/>
      <c r="C1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/>
      <c r="P19"/>
      <c r="Q19" s="7"/>
      <c r="R19" s="7"/>
      <c r="S19"/>
    </row>
    <row r="20" spans="1:19" ht="12.75">
      <c r="A20" s="1" t="s">
        <v>26</v>
      </c>
      <c r="B20" s="1" t="s">
        <v>27</v>
      </c>
      <c r="C20" s="1">
        <v>213.1</v>
      </c>
      <c r="D20" s="5">
        <v>74.9</v>
      </c>
      <c r="E20" s="5">
        <v>255.8</v>
      </c>
      <c r="F20" s="5">
        <v>112</v>
      </c>
      <c r="G20" s="5">
        <v>133</v>
      </c>
      <c r="H20" s="5">
        <v>77.9</v>
      </c>
      <c r="I20" s="5">
        <v>58.4</v>
      </c>
      <c r="J20" s="5">
        <v>54.4</v>
      </c>
      <c r="K20" s="5">
        <v>103.8</v>
      </c>
      <c r="L20" s="5">
        <v>68.7</v>
      </c>
      <c r="M20" s="5">
        <v>75</v>
      </c>
      <c r="N20" s="5">
        <f>SUM(C20:L20)</f>
        <v>1152</v>
      </c>
      <c r="O20" s="6">
        <f>SUMIFS($C20:$L20,$C$1:$L$1,"&lt;=5")</f>
        <v>788.8</v>
      </c>
      <c r="P20" s="6">
        <f>SUMIFS($C20:$L20,$C$1:$L$1,"&gt;5")</f>
        <v>363.2</v>
      </c>
      <c r="Q20" s="7"/>
      <c r="R20" s="7"/>
      <c r="S20"/>
    </row>
    <row r="21" spans="1:19" ht="12.75">
      <c r="A21" s="1" t="s">
        <v>28</v>
      </c>
      <c r="B21" s="1" t="s">
        <v>29</v>
      </c>
      <c r="C21"/>
      <c r="D21" s="5">
        <v>-0.5</v>
      </c>
      <c r="E21" s="5">
        <v>-1.4</v>
      </c>
      <c r="F21" s="5">
        <v>-1.5</v>
      </c>
      <c r="G21" s="5">
        <v>-1.3</v>
      </c>
      <c r="H21" s="5">
        <v>-1.1</v>
      </c>
      <c r="I21" s="5">
        <v>-1.5</v>
      </c>
      <c r="J21" s="5">
        <v>-0.7</v>
      </c>
      <c r="K21" s="5">
        <v>-0.4</v>
      </c>
      <c r="L21" s="5">
        <v>0</v>
      </c>
      <c r="M21" s="5">
        <v>0</v>
      </c>
      <c r="N21" s="5">
        <f>SUM(C21:L21)</f>
        <v>-8.4</v>
      </c>
      <c r="O21" s="6">
        <f>SUMIFS($C21:$L21,$C$1:$L$1,"&lt;=5")</f>
        <v>-4.7</v>
      </c>
      <c r="P21" s="6">
        <f>SUMIFS($C21:$L21,$C$1:$L$1,"&gt;5")</f>
        <v>-3.6999999999999997</v>
      </c>
      <c r="Q21" s="7"/>
      <c r="R21" s="7"/>
      <c r="S21"/>
    </row>
    <row r="22" spans="1:19" ht="12.75">
      <c r="A22" s="4" t="s">
        <v>26</v>
      </c>
      <c r="B22" s="4"/>
      <c r="C22" s="4">
        <f aca="true" t="shared" si="6" ref="C22:M22">C20</f>
        <v>213.1</v>
      </c>
      <c r="D22" s="11">
        <f t="shared" si="6"/>
        <v>74.9</v>
      </c>
      <c r="E22" s="11">
        <f t="shared" si="6"/>
        <v>255.8</v>
      </c>
      <c r="F22" s="11">
        <f t="shared" si="6"/>
        <v>112</v>
      </c>
      <c r="G22" s="11">
        <f t="shared" si="6"/>
        <v>133</v>
      </c>
      <c r="H22" s="11">
        <f t="shared" si="6"/>
        <v>77.9</v>
      </c>
      <c r="I22" s="11">
        <f t="shared" si="6"/>
        <v>58.4</v>
      </c>
      <c r="J22" s="11">
        <f t="shared" si="6"/>
        <v>54.4</v>
      </c>
      <c r="K22" s="11">
        <f t="shared" si="6"/>
        <v>103.8</v>
      </c>
      <c r="L22" s="11">
        <f t="shared" si="6"/>
        <v>68.7</v>
      </c>
      <c r="M22" s="11">
        <f t="shared" si="6"/>
        <v>75</v>
      </c>
      <c r="N22" s="10">
        <f>SUM(C22:L22)</f>
        <v>1152</v>
      </c>
      <c r="O22" s="11">
        <f>SUMIFS($C22:$L22,$C$1:$L$1,"&lt;=5")</f>
        <v>788.8</v>
      </c>
      <c r="P22" s="11">
        <f>SUMIFS($C22:$L22,$C$1:$L$1,"&gt;5")</f>
        <v>363.2</v>
      </c>
      <c r="Q22" s="7">
        <f>O22/N22</f>
        <v>0.6847222222222222</v>
      </c>
      <c r="R22" s="7">
        <f>P22/N22</f>
        <v>0.31527777777777777</v>
      </c>
      <c r="S22" s="7">
        <f>_xlfn.IFERROR(O22/P22-1,0)</f>
        <v>1.1718061674008808</v>
      </c>
    </row>
    <row r="23" spans="1:19" ht="12.75">
      <c r="A23"/>
      <c r="B23"/>
      <c r="C2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6"/>
      <c r="Q23" s="7"/>
      <c r="R23" s="7"/>
      <c r="S23"/>
    </row>
    <row r="24" spans="1:19" ht="12.75">
      <c r="A24" s="1" t="s">
        <v>30</v>
      </c>
      <c r="B24"/>
      <c r="C24" s="5">
        <f aca="true" t="shared" si="7" ref="C24:M24">C10+C20-C15</f>
        <v>78.6</v>
      </c>
      <c r="D24" s="5">
        <f t="shared" si="7"/>
        <v>6.700000000000017</v>
      </c>
      <c r="E24" s="5">
        <f t="shared" si="7"/>
        <v>162.90000000000003</v>
      </c>
      <c r="F24" s="5">
        <f t="shared" si="7"/>
        <v>26.200000000000017</v>
      </c>
      <c r="G24" s="5">
        <f t="shared" si="7"/>
        <v>84.29999999999998</v>
      </c>
      <c r="H24" s="5">
        <f t="shared" si="7"/>
        <v>-5.599999999999966</v>
      </c>
      <c r="I24" s="5">
        <f t="shared" si="7"/>
        <v>-4.999999999999986</v>
      </c>
      <c r="J24" s="5">
        <f t="shared" si="7"/>
        <v>-35.2</v>
      </c>
      <c r="K24" s="5">
        <f t="shared" si="7"/>
        <v>5.199999999999989</v>
      </c>
      <c r="L24" s="5">
        <f t="shared" si="7"/>
        <v>-32.69999999999999</v>
      </c>
      <c r="M24" s="5">
        <f t="shared" si="7"/>
        <v>-72.60000000000001</v>
      </c>
      <c r="N24" s="5">
        <f>SUM(C24:L24)</f>
        <v>285.4000000000001</v>
      </c>
      <c r="O24" s="6">
        <f>SUMIFS($C24:$L24,$C$1:$L$1,"&lt;=5")</f>
        <v>358.70000000000005</v>
      </c>
      <c r="P24" s="6">
        <f>SUMIFS($C24:$L24,$C$1:$L$1,"&gt;5")</f>
        <v>-73.29999999999995</v>
      </c>
      <c r="Q24" s="7">
        <f>O24/N24</f>
        <v>1.256832515767344</v>
      </c>
      <c r="R24" s="7">
        <f>P24/N24</f>
        <v>-0.25683251576734384</v>
      </c>
      <c r="S24" s="7">
        <f>_xlfn.IFERROR(O24/P24-1,0)</f>
        <v>-5.893587994542978</v>
      </c>
    </row>
    <row r="25" spans="1:19" ht="12.75">
      <c r="A25" s="1" t="s">
        <v>31</v>
      </c>
      <c r="B25"/>
      <c r="C25" s="5">
        <f aca="true" t="shared" si="8" ref="C25:M25">C22+C10-C31</f>
        <v>230.5</v>
      </c>
      <c r="D25" s="5">
        <f t="shared" si="8"/>
        <v>65.30000000000001</v>
      </c>
      <c r="E25" s="5">
        <f t="shared" si="8"/>
        <v>275.1</v>
      </c>
      <c r="F25" s="5">
        <f t="shared" si="8"/>
        <v>135.9</v>
      </c>
      <c r="G25" s="5">
        <f t="shared" si="8"/>
        <v>166.2</v>
      </c>
      <c r="H25" s="5">
        <f t="shared" si="8"/>
        <v>102.9</v>
      </c>
      <c r="I25" s="5">
        <f t="shared" si="8"/>
        <v>71.80000000000001</v>
      </c>
      <c r="J25" s="5">
        <f t="shared" si="8"/>
        <v>36.5</v>
      </c>
      <c r="K25" s="5">
        <f t="shared" si="8"/>
        <v>72.2</v>
      </c>
      <c r="L25" s="5">
        <f t="shared" si="8"/>
        <v>63.500000000000014</v>
      </c>
      <c r="M25" s="5">
        <f t="shared" si="8"/>
        <v>25.700000000000003</v>
      </c>
      <c r="N25" s="5">
        <f>SUM(C25:L25)</f>
        <v>1219.9</v>
      </c>
      <c r="O25" s="6">
        <f>SUMIFS($C25:$L25,$C$1:$L$1,"&lt;=5")</f>
        <v>873</v>
      </c>
      <c r="P25" s="6">
        <f>SUMIFS($C25:$L25,$C$1:$L$1,"&gt;5")</f>
        <v>346.90000000000003</v>
      </c>
      <c r="Q25" s="7">
        <f>O25/N25</f>
        <v>0.7156324288876137</v>
      </c>
      <c r="R25" s="7">
        <f>P25/N25</f>
        <v>0.28436757111238625</v>
      </c>
      <c r="S25" s="7">
        <f>_xlfn.IFERROR(O25/P25-1,0)</f>
        <v>1.5165753819544534</v>
      </c>
    </row>
    <row r="26" spans="1:19" ht="12.75">
      <c r="A26"/>
      <c r="B26"/>
      <c r="C2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6"/>
      <c r="Q26" s="7"/>
      <c r="R26" s="7"/>
      <c r="S26"/>
    </row>
    <row r="27" spans="1:19" ht="12.75">
      <c r="A27" s="1" t="s">
        <v>32</v>
      </c>
      <c r="B27" s="1" t="s">
        <v>33</v>
      </c>
      <c r="C27" s="1">
        <v>60.7</v>
      </c>
      <c r="D27" s="5">
        <v>54</v>
      </c>
      <c r="E27" s="5">
        <v>55.4</v>
      </c>
      <c r="F27" s="5">
        <v>61.1</v>
      </c>
      <c r="G27" s="5">
        <v>65.1</v>
      </c>
      <c r="H27" s="5">
        <f>66.6-1.7</f>
        <v>64.89999999999999</v>
      </c>
      <c r="I27" s="5">
        <f>60.9-19.1</f>
        <v>41.8</v>
      </c>
      <c r="J27" s="5">
        <f>64.1-17.5</f>
        <v>46.599999999999994</v>
      </c>
      <c r="K27" s="5">
        <f>69.9-18.8</f>
        <v>51.10000000000001</v>
      </c>
      <c r="L27" s="5">
        <f>64.9-15.3</f>
        <v>49.60000000000001</v>
      </c>
      <c r="M27" s="5">
        <f>58.2-15.1</f>
        <v>43.1</v>
      </c>
      <c r="N27" s="5">
        <f aca="true" t="shared" si="9" ref="N27:N32">SUM(C27:L27)</f>
        <v>550.3</v>
      </c>
      <c r="O27" s="6">
        <f aca="true" t="shared" si="10" ref="O27:O32">SUMIFS($C27:$L27,$C$1:$L$1,"&lt;=5")</f>
        <v>296.29999999999995</v>
      </c>
      <c r="P27" s="6">
        <f aca="true" t="shared" si="11" ref="P27:P32">SUMIFS($C27:$L27,$C$1:$L$1,"&gt;5")</f>
        <v>254</v>
      </c>
      <c r="Q27" s="7">
        <f>O27/N27</f>
        <v>0.5384335816827185</v>
      </c>
      <c r="R27" s="7">
        <f>P27/N27</f>
        <v>0.4615664183172815</v>
      </c>
      <c r="S27" s="7">
        <f>_xlfn.IFERROR(O27/P27-1,0)</f>
        <v>0.16653543307086593</v>
      </c>
    </row>
    <row r="28" spans="1:19" ht="12.75">
      <c r="A28" s="1" t="s">
        <v>34</v>
      </c>
      <c r="B28" s="1" t="s">
        <v>35</v>
      </c>
      <c r="C28" s="1">
        <v>190.9</v>
      </c>
      <c r="D28" s="5">
        <v>126.3</v>
      </c>
      <c r="E28" s="5">
        <v>145.1</v>
      </c>
      <c r="F28" s="5">
        <v>141.6</v>
      </c>
      <c r="G28" s="5">
        <v>116.5</v>
      </c>
      <c r="H28" s="5">
        <v>130.8</v>
      </c>
      <c r="I28" s="5">
        <v>125.1</v>
      </c>
      <c r="J28" s="5">
        <v>143.3</v>
      </c>
      <c r="K28" s="5">
        <v>147.8</v>
      </c>
      <c r="L28" s="5">
        <v>169.6</v>
      </c>
      <c r="M28" s="5">
        <v>183.9</v>
      </c>
      <c r="N28" s="5">
        <f t="shared" si="9"/>
        <v>1437</v>
      </c>
      <c r="O28" s="6">
        <f t="shared" si="10"/>
        <v>720.4</v>
      </c>
      <c r="P28" s="6">
        <f t="shared" si="11"/>
        <v>716.6</v>
      </c>
      <c r="Q28" s="7">
        <f>O28/N28</f>
        <v>0.501322199025748</v>
      </c>
      <c r="R28" s="7">
        <f>P28/N28</f>
        <v>0.4986778009742519</v>
      </c>
      <c r="S28" s="7">
        <f>_xlfn.IFERROR(O28/P28-1,0)</f>
        <v>0.005302818866871339</v>
      </c>
    </row>
    <row r="29" spans="1:19" ht="12.75">
      <c r="A29" s="1" t="s">
        <v>36</v>
      </c>
      <c r="B29" s="1" t="s">
        <v>35</v>
      </c>
      <c r="C29" s="1">
        <f>130-62.2</f>
        <v>67.8</v>
      </c>
      <c r="D29" s="5">
        <f>76.7-138.2</f>
        <v>-61.499999999999986</v>
      </c>
      <c r="E29" s="5">
        <f>95-65.2</f>
        <v>29.799999999999997</v>
      </c>
      <c r="F29" s="5">
        <f>95.9-83.5</f>
        <v>12.400000000000006</v>
      </c>
      <c r="G29" s="5">
        <f>78.4-74.9</f>
        <v>3.5</v>
      </c>
      <c r="H29" s="5">
        <f>95-81.6</f>
        <v>13.400000000000006</v>
      </c>
      <c r="I29" s="5">
        <f>78-64</f>
        <v>14</v>
      </c>
      <c r="J29" s="5">
        <f>72.8-80.8</f>
        <v>-8</v>
      </c>
      <c r="K29" s="5">
        <f>62.9-80.6</f>
        <v>-17.699999999999996</v>
      </c>
      <c r="L29" s="5">
        <f>81.5-66.3</f>
        <v>15.200000000000003</v>
      </c>
      <c r="M29" s="5">
        <f>77.6-85.1</f>
        <v>-7.5</v>
      </c>
      <c r="N29" s="5">
        <f t="shared" si="9"/>
        <v>68.90000000000003</v>
      </c>
      <c r="O29" s="6">
        <f t="shared" si="10"/>
        <v>52.000000000000014</v>
      </c>
      <c r="P29" s="6">
        <f t="shared" si="11"/>
        <v>16.900000000000013</v>
      </c>
      <c r="Q29" s="7"/>
      <c r="R29" s="7"/>
      <c r="S29"/>
    </row>
    <row r="30" spans="1:19" ht="12.75">
      <c r="A30" s="1" t="s">
        <v>37</v>
      </c>
      <c r="B30" s="1" t="s">
        <v>35</v>
      </c>
      <c r="C30" s="1">
        <f>37.3+39.6</f>
        <v>76.9</v>
      </c>
      <c r="D30" s="5">
        <f>32.7+73.6</f>
        <v>106.3</v>
      </c>
      <c r="E30" s="5">
        <f>34.7+40.3</f>
        <v>75</v>
      </c>
      <c r="F30" s="5">
        <f>30.7+53.9</f>
        <v>84.6</v>
      </c>
      <c r="G30" s="5">
        <f>25+46.4</f>
        <v>71.4</v>
      </c>
      <c r="H30" s="5">
        <f>19+61.6</f>
        <v>80.6</v>
      </c>
      <c r="I30" s="5">
        <f>28.9+30.1</f>
        <v>59</v>
      </c>
      <c r="J30" s="5">
        <f>33.1+35.5</f>
        <v>68.6</v>
      </c>
      <c r="K30" s="5">
        <f>29+35</f>
        <v>64</v>
      </c>
      <c r="L30" s="5">
        <f>35.5+34.9</f>
        <v>70.4</v>
      </c>
      <c r="M30" s="5">
        <f>42.7+39.8</f>
        <v>82.5</v>
      </c>
      <c r="N30" s="5">
        <f t="shared" si="9"/>
        <v>756.8</v>
      </c>
      <c r="O30" s="6">
        <f t="shared" si="10"/>
        <v>414.19999999999993</v>
      </c>
      <c r="P30" s="6">
        <f t="shared" si="11"/>
        <v>342.6</v>
      </c>
      <c r="Q30" s="7">
        <f>O30/N30</f>
        <v>0.5473044397463002</v>
      </c>
      <c r="R30" s="7">
        <f>P30/N30</f>
        <v>0.45269556025369984</v>
      </c>
      <c r="S30" s="7">
        <f>_xlfn.IFERROR(O30/P30-1,0)</f>
        <v>0.20899007589025076</v>
      </c>
    </row>
    <row r="31" spans="1:19" ht="12.75">
      <c r="A31" s="14" t="s">
        <v>48</v>
      </c>
      <c r="B31" s="4" t="s">
        <v>35</v>
      </c>
      <c r="C31" s="4">
        <f>12.7+16.3</f>
        <v>29</v>
      </c>
      <c r="D31" s="10">
        <f>15.8+43</f>
        <v>58.8</v>
      </c>
      <c r="E31" s="10">
        <f>11.5+17.5</f>
        <v>29</v>
      </c>
      <c r="F31" s="10">
        <f>13.8+21.1</f>
        <v>34.900000000000006</v>
      </c>
      <c r="G31" s="10">
        <f>11.6+16.8</f>
        <v>28.4</v>
      </c>
      <c r="H31" s="10">
        <f>14.9+14</f>
        <v>28.9</v>
      </c>
      <c r="I31" s="10">
        <f>17.8+21.7</f>
        <v>39.5</v>
      </c>
      <c r="J31" s="10">
        <f>38+36.3</f>
        <v>74.3</v>
      </c>
      <c r="K31" s="10">
        <f>53.7+34</f>
        <v>87.7</v>
      </c>
      <c r="L31" s="10">
        <f>50+17.3</f>
        <v>67.3</v>
      </c>
      <c r="M31" s="10">
        <f>60.6+32.5</f>
        <v>93.1</v>
      </c>
      <c r="N31" s="10">
        <f t="shared" si="9"/>
        <v>477.8</v>
      </c>
      <c r="O31" s="11">
        <f t="shared" si="10"/>
        <v>180.1</v>
      </c>
      <c r="P31" s="11">
        <f t="shared" si="11"/>
        <v>297.7</v>
      </c>
      <c r="Q31" s="7">
        <f>O31/N31</f>
        <v>0.37693595646714106</v>
      </c>
      <c r="R31" s="7">
        <f>P31/N31</f>
        <v>0.6230640435328589</v>
      </c>
      <c r="S31" s="7">
        <f>_xlfn.IFERROR(O31/P31-1,0)</f>
        <v>-0.3950285522337924</v>
      </c>
    </row>
    <row r="32" spans="1:19" ht="12.75">
      <c r="A32" s="15" t="s">
        <v>38</v>
      </c>
      <c r="B32" s="1" t="s">
        <v>35</v>
      </c>
      <c r="C32" s="5">
        <f aca="true" t="shared" si="12" ref="C32:M32">C28-C29-C30-C31</f>
        <v>17.200000000000003</v>
      </c>
      <c r="D32" s="5">
        <f t="shared" si="12"/>
        <v>22.69999999999999</v>
      </c>
      <c r="E32" s="5">
        <f t="shared" si="12"/>
        <v>11.299999999999997</v>
      </c>
      <c r="F32" s="5">
        <f t="shared" si="12"/>
        <v>9.699999999999989</v>
      </c>
      <c r="G32" s="5">
        <f t="shared" si="12"/>
        <v>13.199999999999996</v>
      </c>
      <c r="H32" s="5">
        <f t="shared" si="12"/>
        <v>7.900000000000013</v>
      </c>
      <c r="I32" s="5">
        <f t="shared" si="12"/>
        <v>12.599999999999994</v>
      </c>
      <c r="J32" s="5">
        <f t="shared" si="12"/>
        <v>8.40000000000002</v>
      </c>
      <c r="K32" s="5">
        <f t="shared" si="12"/>
        <v>13.799999999999997</v>
      </c>
      <c r="L32" s="5">
        <f t="shared" si="12"/>
        <v>16.699999999999974</v>
      </c>
      <c r="M32" s="5">
        <f t="shared" si="12"/>
        <v>15.800000000000011</v>
      </c>
      <c r="N32" s="5">
        <f t="shared" si="9"/>
        <v>133.49999999999994</v>
      </c>
      <c r="O32" s="6">
        <f t="shared" si="10"/>
        <v>74.09999999999997</v>
      </c>
      <c r="P32" s="6">
        <f t="shared" si="11"/>
        <v>59.4</v>
      </c>
      <c r="Q32" s="7">
        <f>O32/N32</f>
        <v>0.5550561797752809</v>
      </c>
      <c r="R32" s="7">
        <f>P32/N32</f>
        <v>0.4449438202247193</v>
      </c>
      <c r="S32" s="7">
        <f>_xlfn.IFERROR(O32/P32-1,0)</f>
        <v>0.24747474747474696</v>
      </c>
    </row>
    <row r="33" spans="1:19" ht="12.75">
      <c r="A33" s="4" t="s">
        <v>39</v>
      </c>
      <c r="B33" s="4"/>
      <c r="C33" s="8">
        <f aca="true" t="shared" si="13" ref="C33:P33">_xlfn.IFERROR(C31/C28,0)</f>
        <v>0.15191199580932424</v>
      </c>
      <c r="D33" s="8">
        <f t="shared" si="13"/>
        <v>0.4655581947743468</v>
      </c>
      <c r="E33" s="8">
        <f t="shared" si="13"/>
        <v>0.1998621640248105</v>
      </c>
      <c r="F33" s="8">
        <f t="shared" si="13"/>
        <v>0.24646892655367236</v>
      </c>
      <c r="G33" s="8">
        <f t="shared" si="13"/>
        <v>0.24377682403433476</v>
      </c>
      <c r="H33" s="8">
        <f t="shared" si="13"/>
        <v>0.22094801223241586</v>
      </c>
      <c r="I33" s="8">
        <f t="shared" si="13"/>
        <v>0.31574740207833735</v>
      </c>
      <c r="J33" s="8">
        <f t="shared" si="13"/>
        <v>0.5184926727145848</v>
      </c>
      <c r="K33" s="8">
        <f t="shared" si="13"/>
        <v>0.5933694181326116</v>
      </c>
      <c r="L33" s="8">
        <f t="shared" si="13"/>
        <v>0.39681603773584906</v>
      </c>
      <c r="M33" s="8">
        <f t="shared" si="13"/>
        <v>0.5062533985861881</v>
      </c>
      <c r="N33" s="8">
        <f t="shared" si="13"/>
        <v>0.3324982602644398</v>
      </c>
      <c r="O33" s="8">
        <f t="shared" si="13"/>
        <v>0.25</v>
      </c>
      <c r="P33" s="8">
        <f t="shared" si="13"/>
        <v>0.41543399385989394</v>
      </c>
      <c r="Q33" s="7"/>
      <c r="R33" s="7"/>
      <c r="S33"/>
    </row>
    <row r="34" spans="1:19" ht="12.75">
      <c r="A34"/>
      <c r="B34"/>
      <c r="C3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6"/>
      <c r="Q34" s="7"/>
      <c r="R34" s="7"/>
      <c r="S34"/>
    </row>
    <row r="35" spans="1:19" ht="12.75">
      <c r="A35" s="1" t="s">
        <v>40</v>
      </c>
      <c r="B35" s="1" t="s">
        <v>41</v>
      </c>
      <c r="C35" s="1">
        <v>2899.8</v>
      </c>
      <c r="D35" s="5">
        <v>2659.9</v>
      </c>
      <c r="E35" s="5">
        <v>2636.9</v>
      </c>
      <c r="F35" s="5">
        <v>2595</v>
      </c>
      <c r="G35" s="5">
        <v>2555.3</v>
      </c>
      <c r="H35" s="5">
        <v>2541.1</v>
      </c>
      <c r="I35" s="5">
        <v>2467.8</v>
      </c>
      <c r="J35" s="5">
        <v>2427.7</v>
      </c>
      <c r="K35" s="5">
        <v>2377.9</v>
      </c>
      <c r="L35" s="5">
        <v>2323.8</v>
      </c>
      <c r="M35" s="5">
        <v>2243.5</v>
      </c>
      <c r="N35" s="5"/>
      <c r="O35" s="6"/>
      <c r="P35" s="6"/>
      <c r="Q35" s="7"/>
      <c r="R35" s="7"/>
      <c r="S35"/>
    </row>
    <row r="36" spans="1:19" ht="12.75">
      <c r="A36" s="1" t="s">
        <v>42</v>
      </c>
      <c r="B36" s="1" t="s">
        <v>41</v>
      </c>
      <c r="C36" s="1">
        <f>158.3+2122.9</f>
        <v>2281.2000000000003</v>
      </c>
      <c r="D36" s="5">
        <f>104.6+1939.9</f>
        <v>2044.5</v>
      </c>
      <c r="E36" s="5">
        <f>183.8+1880.6</f>
        <v>2064.4</v>
      </c>
      <c r="F36" s="5">
        <f>142.5+1819</f>
        <v>1961.5</v>
      </c>
      <c r="G36" s="5">
        <f>53.4+1781.4</f>
        <v>1834.8000000000002</v>
      </c>
      <c r="H36" s="5">
        <f>68.7+1809.8</f>
        <v>1878.5</v>
      </c>
      <c r="I36" s="5">
        <f>60.3+1784.1</f>
        <v>1844.3999999999999</v>
      </c>
      <c r="J36" s="5">
        <f>155.3+1656.8</f>
        <v>1812.1</v>
      </c>
      <c r="K36" s="5">
        <f>55.3+1767.5</f>
        <v>1822.8</v>
      </c>
      <c r="L36" s="5">
        <f>53.4+1660.9</f>
        <v>1714.3000000000002</v>
      </c>
      <c r="M36" s="5">
        <f>74.1+1465.4</f>
        <v>1539.5</v>
      </c>
      <c r="N36" s="5"/>
      <c r="O36" s="6"/>
      <c r="P36" s="6"/>
      <c r="Q36" s="7"/>
      <c r="R36" s="7"/>
      <c r="S36"/>
    </row>
    <row r="37" spans="1:19" ht="12.75">
      <c r="A37" s="1" t="s">
        <v>43</v>
      </c>
      <c r="B37" s="1" t="s">
        <v>41</v>
      </c>
      <c r="C37" s="1">
        <v>247.4</v>
      </c>
      <c r="D37" s="5">
        <v>251.2</v>
      </c>
      <c r="E37" s="5">
        <v>246.9</v>
      </c>
      <c r="F37" s="5">
        <v>315.8</v>
      </c>
      <c r="G37" s="5">
        <v>234.4</v>
      </c>
      <c r="H37" s="5">
        <v>293.6</v>
      </c>
      <c r="I37" s="5">
        <v>301.6</v>
      </c>
      <c r="J37" s="5">
        <v>264.9</v>
      </c>
      <c r="K37" s="5">
        <v>251.7</v>
      </c>
      <c r="L37" s="5">
        <v>242.3</v>
      </c>
      <c r="M37" s="5">
        <v>118.8</v>
      </c>
      <c r="N37" s="5"/>
      <c r="O37" s="6"/>
      <c r="P37" s="6"/>
      <c r="Q37" s="7"/>
      <c r="R37" s="7"/>
      <c r="S37"/>
    </row>
    <row r="38" spans="1:19" ht="12.75">
      <c r="A38" s="1" t="s">
        <v>44</v>
      </c>
      <c r="B38"/>
      <c r="C38" s="13">
        <f aca="true" t="shared" si="14" ref="C38:L38">C35-D35</f>
        <v>239.9000000000001</v>
      </c>
      <c r="D38" s="13">
        <f t="shared" si="14"/>
        <v>23</v>
      </c>
      <c r="E38" s="13">
        <f t="shared" si="14"/>
        <v>41.90000000000009</v>
      </c>
      <c r="F38" s="13">
        <f t="shared" si="14"/>
        <v>39.69999999999982</v>
      </c>
      <c r="G38" s="13">
        <f t="shared" si="14"/>
        <v>14.200000000000273</v>
      </c>
      <c r="H38" s="13">
        <f t="shared" si="14"/>
        <v>73.29999999999973</v>
      </c>
      <c r="I38" s="13">
        <f t="shared" si="14"/>
        <v>40.100000000000364</v>
      </c>
      <c r="J38" s="13">
        <f t="shared" si="14"/>
        <v>49.79999999999973</v>
      </c>
      <c r="K38" s="13">
        <f t="shared" si="14"/>
        <v>54.09999999999991</v>
      </c>
      <c r="L38" s="13">
        <f t="shared" si="14"/>
        <v>80.30000000000018</v>
      </c>
      <c r="M38" s="13"/>
      <c r="N38" s="10">
        <f>SUM(C38:L38)</f>
        <v>656.3000000000002</v>
      </c>
      <c r="O38" s="11">
        <f>SUMIFS($C38:$L38,$C$1:$L$1,"&lt;=5")</f>
        <v>358.7000000000003</v>
      </c>
      <c r="P38" s="11">
        <f>SUMIFS($C38:$L38,$C$1:$L$1,"&gt;5")</f>
        <v>297.5999999999999</v>
      </c>
      <c r="Q38" s="7">
        <f>O38/N38</f>
        <v>0.5465488343745241</v>
      </c>
      <c r="R38" s="7">
        <f>P38/N38</f>
        <v>0.4534511656254759</v>
      </c>
      <c r="S38" s="7"/>
    </row>
    <row r="39" spans="1:19" ht="12.75">
      <c r="A39" s="1" t="s">
        <v>45</v>
      </c>
      <c r="B39"/>
      <c r="C39" s="13">
        <f aca="true" t="shared" si="15" ref="C39:L39">C36-D36</f>
        <v>236.70000000000027</v>
      </c>
      <c r="D39" s="13">
        <f t="shared" si="15"/>
        <v>-19.90000000000009</v>
      </c>
      <c r="E39" s="13">
        <f t="shared" si="15"/>
        <v>102.90000000000009</v>
      </c>
      <c r="F39" s="13">
        <f t="shared" si="15"/>
        <v>126.69999999999982</v>
      </c>
      <c r="G39" s="13">
        <f t="shared" si="15"/>
        <v>-43.69999999999982</v>
      </c>
      <c r="H39" s="13">
        <f t="shared" si="15"/>
        <v>34.100000000000136</v>
      </c>
      <c r="I39" s="13">
        <f t="shared" si="15"/>
        <v>32.299999999999955</v>
      </c>
      <c r="J39" s="13">
        <f t="shared" si="15"/>
        <v>-10.700000000000045</v>
      </c>
      <c r="K39" s="13">
        <f t="shared" si="15"/>
        <v>108.49999999999977</v>
      </c>
      <c r="L39" s="13">
        <f t="shared" si="15"/>
        <v>174.80000000000018</v>
      </c>
      <c r="M39" s="13"/>
      <c r="N39" s="10">
        <f>SUM(C39:L39)</f>
        <v>741.7000000000003</v>
      </c>
      <c r="O39" s="11">
        <f>SUMIFS($C39:$L39,$C$1:$L$1,"&lt;=5")</f>
        <v>402.7000000000003</v>
      </c>
      <c r="P39" s="11">
        <f>SUMIFS($C39:$L39,$C$1:$L$1,"&gt;5")</f>
        <v>339</v>
      </c>
      <c r="Q39" s="7">
        <f>O39/N39</f>
        <v>0.5429418902521237</v>
      </c>
      <c r="R39" s="7">
        <f>P39/N39</f>
        <v>0.4570581097478763</v>
      </c>
      <c r="S39" s="7"/>
    </row>
    <row r="40" spans="1:19" ht="12.75">
      <c r="A40" s="1" t="s">
        <v>46</v>
      </c>
      <c r="B40"/>
      <c r="C40" s="13">
        <f aca="true" t="shared" si="16" ref="C40:L40">C37-D37</f>
        <v>-3.799999999999983</v>
      </c>
      <c r="D40" s="13">
        <f t="shared" si="16"/>
        <v>4.299999999999983</v>
      </c>
      <c r="E40" s="13">
        <f t="shared" si="16"/>
        <v>-68.9</v>
      </c>
      <c r="F40" s="13">
        <f t="shared" si="16"/>
        <v>81.4</v>
      </c>
      <c r="G40" s="13">
        <f t="shared" si="16"/>
        <v>-59.20000000000002</v>
      </c>
      <c r="H40" s="13">
        <f t="shared" si="16"/>
        <v>-8</v>
      </c>
      <c r="I40" s="13">
        <f t="shared" si="16"/>
        <v>36.700000000000045</v>
      </c>
      <c r="J40" s="13">
        <f t="shared" si="16"/>
        <v>13.199999999999989</v>
      </c>
      <c r="K40" s="13">
        <f t="shared" si="16"/>
        <v>9.399999999999977</v>
      </c>
      <c r="L40" s="13">
        <f t="shared" si="16"/>
        <v>123.50000000000001</v>
      </c>
      <c r="M40" s="13"/>
      <c r="N40" s="10">
        <f>SUM(C40:L40)</f>
        <v>128.60000000000002</v>
      </c>
      <c r="O40" s="11">
        <f>SUMIFS($C40:$L40,$C$1:$L$1,"&lt;=5")</f>
        <v>-46.20000000000002</v>
      </c>
      <c r="P40" s="11">
        <f>SUMIFS($C40:$L40,$C$1:$L$1,"&gt;5")</f>
        <v>174.8</v>
      </c>
      <c r="Q40" s="7">
        <f>O40/N40</f>
        <v>-0.3592534992223951</v>
      </c>
      <c r="R40" s="7">
        <f>P40/N40</f>
        <v>1.3592534992223948</v>
      </c>
      <c r="S40" s="7"/>
    </row>
    <row r="41" spans="1:18" ht="12.75">
      <c r="A41" s="4" t="s">
        <v>47</v>
      </c>
      <c r="B41" s="4"/>
      <c r="C41" s="8">
        <f aca="true" t="shared" si="17" ref="C41:M41">_xlfn.IFERROR(C36/C35,0)</f>
        <v>0.7866749430995241</v>
      </c>
      <c r="D41" s="8">
        <f t="shared" si="17"/>
        <v>0.7686379187187488</v>
      </c>
      <c r="E41" s="8">
        <f t="shared" si="17"/>
        <v>0.7828889984451439</v>
      </c>
      <c r="F41" s="8">
        <f t="shared" si="17"/>
        <v>0.7558766859344894</v>
      </c>
      <c r="G41" s="8">
        <f t="shared" si="17"/>
        <v>0.7180370210934137</v>
      </c>
      <c r="H41" s="8">
        <f t="shared" si="17"/>
        <v>0.7392467828892999</v>
      </c>
      <c r="I41" s="8">
        <f t="shared" si="17"/>
        <v>0.7473863360077801</v>
      </c>
      <c r="J41" s="8">
        <f t="shared" si="17"/>
        <v>0.7464266589776332</v>
      </c>
      <c r="K41" s="8">
        <f t="shared" si="17"/>
        <v>0.7665587282896673</v>
      </c>
      <c r="L41" s="8">
        <f t="shared" si="17"/>
        <v>0.7377140889921681</v>
      </c>
      <c r="M41" s="8">
        <f t="shared" si="17"/>
        <v>0.6862045910407845</v>
      </c>
      <c r="N41" s="8"/>
      <c r="O41" s="8"/>
      <c r="P41" s="8"/>
      <c r="Q41" s="7"/>
      <c r="R41" s="7"/>
    </row>
  </sheetData>
  <printOptions/>
  <pageMargins left="0.7875" right="0.7875" top="1.025" bottom="1.025" header="0.7875" footer="0.7875"/>
  <pageSetup firstPageNumber="1" useFirstPageNumber="1" horizontalDpi="600" verticalDpi="600" orientation="portrait" paperSize="9" r:id="rId2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2017-11-14T20:23:19Z</dcterms:created>
  <dcterms:modified xsi:type="dcterms:W3CDTF">2017-11-14T20:24:02Z</dcterms:modified>
  <cp:category/>
  <cp:version/>
  <cp:contentType/>
  <cp:contentStatus/>
</cp:coreProperties>
</file>